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пасандоздорони суғурташуда" sheetId="2" r:id="rId1"/>
  </sheets>
  <externalReferences>
    <externalReference r:id="rId2"/>
  </externalReferences>
  <definedNames>
    <definedName name="_xlnm.Print_Titles" localSheetId="0">'пасандоздорони суғурташуда'!$5:$7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2" l="1"/>
  <c r="D39" i="2"/>
  <c r="C39" i="2"/>
  <c r="I39" i="2" s="1"/>
  <c r="F39" i="2" l="1"/>
  <c r="L37" i="2" l="1"/>
  <c r="J37" i="2"/>
  <c r="L38" i="2" l="1"/>
  <c r="K37" i="2"/>
  <c r="D37" i="2"/>
  <c r="C37" i="2"/>
  <c r="I37" i="2" s="1"/>
  <c r="K38" i="2"/>
  <c r="D38" i="2"/>
  <c r="C38" i="2"/>
  <c r="I38" i="2" s="1"/>
  <c r="F37" i="2" l="1"/>
  <c r="F38" i="2"/>
  <c r="E36" i="2" l="1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C22" i="2" s="1"/>
  <c r="E21" i="2"/>
  <c r="E20" i="2"/>
  <c r="E19" i="2"/>
  <c r="E18" i="2"/>
  <c r="E17" i="2"/>
  <c r="E16" i="2"/>
  <c r="E15" i="2"/>
  <c r="E14" i="2"/>
  <c r="E13" i="2"/>
  <c r="E12" i="2"/>
  <c r="E11" i="2"/>
  <c r="H36" i="2"/>
  <c r="H35" i="2"/>
  <c r="C35" i="2" s="1"/>
  <c r="H34" i="2"/>
  <c r="H33" i="2"/>
  <c r="H32" i="2"/>
  <c r="H31" i="2"/>
  <c r="H30" i="2"/>
  <c r="H29" i="2"/>
  <c r="H28" i="2"/>
  <c r="H27" i="2"/>
  <c r="H26" i="2"/>
  <c r="H25" i="2"/>
  <c r="H24" i="2"/>
  <c r="H23" i="2"/>
  <c r="C23" i="2" s="1"/>
  <c r="H22" i="2"/>
  <c r="H21" i="2"/>
  <c r="H20" i="2"/>
  <c r="H19" i="2"/>
  <c r="C19" i="2" s="1"/>
  <c r="H18" i="2"/>
  <c r="H17" i="2"/>
  <c r="H16" i="2"/>
  <c r="H15" i="2"/>
  <c r="H14" i="2"/>
  <c r="H13" i="2"/>
  <c r="H12" i="2"/>
  <c r="H11" i="2"/>
  <c r="E10" i="2"/>
  <c r="H10" i="2"/>
  <c r="H9" i="2"/>
  <c r="E9" i="2"/>
  <c r="C9" i="2" s="1"/>
  <c r="H8" i="2"/>
  <c r="E8" i="2"/>
  <c r="C29" i="2" l="1"/>
  <c r="C15" i="2"/>
  <c r="C21" i="2"/>
  <c r="C14" i="2"/>
  <c r="C18" i="2"/>
  <c r="C26" i="2"/>
  <c r="C30" i="2"/>
  <c r="C34" i="2"/>
  <c r="C13" i="2"/>
  <c r="C25" i="2"/>
  <c r="C20" i="2"/>
  <c r="C24" i="2"/>
  <c r="C28" i="2"/>
  <c r="C32" i="2"/>
  <c r="C36" i="2"/>
  <c r="C27" i="2"/>
  <c r="C8" i="2"/>
  <c r="C10" i="2"/>
  <c r="C31" i="2"/>
  <c r="C33" i="2"/>
  <c r="C17" i="2"/>
  <c r="C16" i="2"/>
  <c r="C12" i="2"/>
  <c r="C11" i="2"/>
  <c r="I36" i="2" l="1"/>
  <c r="D36" i="2"/>
  <c r="F36" i="2"/>
  <c r="D35" i="2"/>
  <c r="I35" i="2"/>
  <c r="D34" i="2"/>
  <c r="F34" i="2"/>
  <c r="I33" i="2"/>
  <c r="D33" i="2"/>
  <c r="F33" i="2"/>
  <c r="D32" i="2"/>
  <c r="I32" i="2"/>
  <c r="D31" i="2"/>
  <c r="F31" i="2"/>
  <c r="I30" i="2"/>
  <c r="D30" i="2"/>
  <c r="F30" i="2"/>
  <c r="D29" i="2"/>
  <c r="F29" i="2"/>
  <c r="D28" i="2"/>
  <c r="F28" i="2"/>
  <c r="I27" i="2"/>
  <c r="F27" i="2"/>
  <c r="D27" i="2"/>
  <c r="D26" i="2"/>
  <c r="I26" i="2"/>
  <c r="D25" i="2"/>
  <c r="F25" i="2"/>
  <c r="I24" i="2"/>
  <c r="F24" i="2"/>
  <c r="D24" i="2"/>
  <c r="D23" i="2"/>
  <c r="I23" i="2"/>
  <c r="D22" i="2"/>
  <c r="F22" i="2"/>
  <c r="I21" i="2"/>
  <c r="F21" i="2"/>
  <c r="D21" i="2"/>
  <c r="D20" i="2"/>
  <c r="F20" i="2"/>
  <c r="D19" i="2"/>
  <c r="F19" i="2"/>
  <c r="I18" i="2"/>
  <c r="F18" i="2"/>
  <c r="D18" i="2"/>
  <c r="D17" i="2"/>
  <c r="I17" i="2"/>
  <c r="D16" i="2"/>
  <c r="F16" i="2"/>
  <c r="F15" i="2"/>
  <c r="D15" i="2"/>
  <c r="D14" i="2"/>
  <c r="I14" i="2"/>
  <c r="D13" i="2"/>
  <c r="F13" i="2"/>
  <c r="I12" i="2"/>
  <c r="F12" i="2"/>
  <c r="D12" i="2"/>
  <c r="D11" i="2"/>
  <c r="I11" i="2"/>
  <c r="D10" i="2"/>
  <c r="I10" i="2"/>
  <c r="L9" i="2"/>
  <c r="I9" i="2"/>
  <c r="F9" i="2"/>
  <c r="D9" i="2"/>
  <c r="L8" i="2"/>
  <c r="D8" i="2"/>
  <c r="I8" i="2"/>
  <c r="I16" i="2" l="1"/>
  <c r="I22" i="2"/>
  <c r="I25" i="2"/>
  <c r="I28" i="2"/>
  <c r="I31" i="2"/>
  <c r="I34" i="2"/>
  <c r="F10" i="2"/>
  <c r="I19" i="2"/>
  <c r="I13" i="2"/>
  <c r="F17" i="2"/>
  <c r="F23" i="2"/>
  <c r="F26" i="2"/>
  <c r="F32" i="2"/>
  <c r="F35" i="2"/>
  <c r="F11" i="2"/>
  <c r="F14" i="2"/>
  <c r="I20" i="2"/>
  <c r="I29" i="2"/>
  <c r="F8" i="2"/>
</calcChain>
</file>

<file path=xl/sharedStrings.xml><?xml version="1.0" encoding="utf-8"?>
<sst xmlns="http://schemas.openxmlformats.org/spreadsheetml/2006/main" count="19" uniqueCount="16">
  <si>
    <t>№</t>
  </si>
  <si>
    <t>Сана</t>
  </si>
  <si>
    <t>Уҳдадориҳои суғуртави Хазина (млн. сомонӣ)</t>
  </si>
  <si>
    <t>пасандоздорон</t>
  </si>
  <si>
    <t>бо фоиз</t>
  </si>
  <si>
    <t>шумора (ҳаз. нафар)</t>
  </si>
  <si>
    <t>Шумораи умумии пасандоздорон (ҳаз.нафар)*</t>
  </si>
  <si>
    <t>* - ба истиснои амонату пасандозҳо, ки тибқи моддаи 24 Қонуни ҶТ "Дар бораи суғуртаи амонату пасандозҳо" суғурта намешавад.</t>
  </si>
  <si>
    <t>Дар доираи андозаи ҷубронпулии суғурта (рӯйпӯши пурра)</t>
  </si>
  <si>
    <t>Зиёда аз андозаи ҷубронпулии суғурта (рӯйпӯши нопурра)</t>
  </si>
  <si>
    <t>Маблағи рӯйпӯшшуда (млн. сомонӣ)</t>
  </si>
  <si>
    <t>Маблағи умумӣ       (млн. сомони)</t>
  </si>
  <si>
    <t>аз ин миқдор: қисми рӯйпӯшшудаи маблағ (млн. сомонӣ)</t>
  </si>
  <si>
    <t>Ҷадвали 2. Маълумот дар бораи рӯйпӯши суғуртавии пасандоздорон дар доираи маблағи ҷуброни суғурта</t>
  </si>
  <si>
    <t>Маблағи амонату пасандозҳои суғурташуда (млн. сомонӣ)*</t>
  </si>
  <si>
    <t>Аз ҷумла: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</si>
</sst>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\ _с_м_н_-;\-* #,##0.00\ _с_м_н_-;_-* &quot;-&quot;??\ _с_м_н_-;_-@_-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Palatino Linotype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4" fontId="3" fillId="0" borderId="6" xfId="1" applyNumberFormat="1" applyFont="1" applyBorder="1" applyAlignment="1">
      <alignment horizontal="center"/>
    </xf>
    <xf numFmtId="165" fontId="2" fillId="0" borderId="0" xfId="1" applyNumberFormat="1" applyFont="1"/>
    <xf numFmtId="0" fontId="3" fillId="0" borderId="0" xfId="1" applyFont="1" applyAlignment="1">
      <alignment horizontal="left"/>
    </xf>
    <xf numFmtId="3" fontId="2" fillId="0" borderId="0" xfId="1" applyNumberFormat="1" applyFont="1"/>
    <xf numFmtId="165" fontId="3" fillId="0" borderId="7" xfId="1" applyNumberFormat="1" applyFont="1" applyBorder="1" applyAlignment="1">
      <alignment horizontal="center" vertical="center" wrapText="1"/>
    </xf>
    <xf numFmtId="166" fontId="3" fillId="0" borderId="7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/>
    </xf>
    <xf numFmtId="0" fontId="7" fillId="0" borderId="0" xfId="1" applyFont="1"/>
    <xf numFmtId="0" fontId="3" fillId="0" borderId="6" xfId="1" applyFont="1" applyFill="1" applyBorder="1" applyAlignment="1">
      <alignment horizontal="center"/>
    </xf>
    <xf numFmtId="14" fontId="3" fillId="0" borderId="6" xfId="1" applyNumberFormat="1" applyFont="1" applyFill="1" applyBorder="1" applyAlignment="1">
      <alignment horizontal="center"/>
    </xf>
    <xf numFmtId="165" fontId="3" fillId="0" borderId="6" xfId="1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6" xfId="2" applyNumberFormat="1" applyFont="1" applyFill="1" applyBorder="1" applyAlignment="1">
      <alignment horizontal="center"/>
    </xf>
    <xf numFmtId="166" fontId="3" fillId="0" borderId="6" xfId="1" applyNumberFormat="1" applyFont="1" applyFill="1" applyBorder="1" applyAlignment="1">
      <alignment horizontal="center"/>
    </xf>
    <xf numFmtId="165" fontId="3" fillId="0" borderId="7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>
      <alignment horizontal="left" indent="22"/>
    </xf>
    <xf numFmtId="0" fontId="3" fillId="0" borderId="3" xfId="1" applyFont="1" applyBorder="1" applyAlignment="1">
      <alignment horizontal="left" indent="22"/>
    </xf>
    <xf numFmtId="0" fontId="3" fillId="0" borderId="4" xfId="1" applyFont="1" applyBorder="1" applyAlignment="1">
      <alignment horizontal="left" indent="22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202;&#1048;&#1057;&#1054;&#1041;&#1054;&#1058;&#1202;&#1054;\&#1089;&#1077;&#1084;&#1086;&#1203;&#1072;&#1080;%202%20&#1089;&#1086;&#1083;&#1080;%202025\2.%20&#1055;&#1072;&#1089;&#1072;&#1085;&#1076;&#1086;&#1079;&#1080;%20&#1089;&#1091;&#1075;&#1091;&#1088;&#1090;&#1072;&#1096;&#1091;&#1076;&#1072;%202%20&#1082;&#1074;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 "/>
      <sheetName val="Итог"/>
      <sheetName val="Банки"/>
      <sheetName val="МДО"/>
      <sheetName val="чадвали ШМСМ"/>
      <sheetName val="пасандозҳо"/>
      <sheetName val="асъор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  <sheetName val="Лист1"/>
    </sheetNames>
    <sheetDataSet>
      <sheetData sheetId="0"/>
      <sheetData sheetId="1"/>
      <sheetData sheetId="2"/>
      <sheetData sheetId="3"/>
      <sheetData sheetId="4"/>
      <sheetData sheetId="5">
        <row r="50">
          <cell r="M50">
            <v>5456589069.811203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70"/>
  <sheetViews>
    <sheetView showGridLines="0" tabSelected="1" zoomScaleNormal="100" workbookViewId="0">
      <pane xSplit="2" ySplit="7" topLeftCell="C35" activePane="bottomRight" state="frozen"/>
      <selection pane="topRight" activeCell="C1" sqref="C1"/>
      <selection pane="bottomLeft" activeCell="A6" sqref="A6"/>
      <selection pane="bottomRight" activeCell="C39" sqref="C39"/>
    </sheetView>
  </sheetViews>
  <sheetFormatPr defaultColWidth="9.140625" defaultRowHeight="15" x14ac:dyDescent="0.3"/>
  <cols>
    <col min="1" max="1" width="5.28515625" style="1" customWidth="1"/>
    <col min="2" max="2" width="11.85546875" style="2" customWidth="1"/>
    <col min="3" max="3" width="13.28515625" style="2" customWidth="1"/>
    <col min="4" max="4" width="14" style="2" customWidth="1"/>
    <col min="5" max="5" width="10.42578125" style="1" customWidth="1"/>
    <col min="6" max="6" width="8.5703125" style="2" customWidth="1"/>
    <col min="7" max="7" width="11.7109375" style="1" customWidth="1"/>
    <col min="8" max="8" width="10.85546875" style="1" customWidth="1"/>
    <col min="9" max="9" width="7.42578125" style="1" customWidth="1"/>
    <col min="10" max="10" width="12.28515625" style="1" customWidth="1"/>
    <col min="11" max="11" width="13.85546875" style="2" customWidth="1"/>
    <col min="12" max="12" width="15.85546875" style="1" customWidth="1"/>
    <col min="13" max="13" width="9.140625" style="1" customWidth="1"/>
    <col min="14" max="15" width="9.140625" style="1"/>
    <col min="16" max="16" width="11.7109375" style="1" customWidth="1"/>
    <col min="17" max="18" width="9.140625" style="1"/>
    <col min="19" max="19" width="13.7109375" style="1" customWidth="1"/>
    <col min="20" max="20" width="9.85546875" style="1" customWidth="1"/>
    <col min="21" max="16384" width="9.140625" style="1"/>
  </cols>
  <sheetData>
    <row r="1" spans="1:12" x14ac:dyDescent="0.3">
      <c r="C1" s="1"/>
      <c r="D1" s="1"/>
      <c r="F1" s="1"/>
      <c r="K1" s="1"/>
    </row>
    <row r="2" spans="1:12" ht="15.75" x14ac:dyDescent="0.3">
      <c r="A2" s="3"/>
      <c r="B2" s="4"/>
      <c r="C2" s="22" t="s">
        <v>13</v>
      </c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 x14ac:dyDescent="0.3">
      <c r="A4" s="43" t="s">
        <v>0</v>
      </c>
      <c r="B4" s="43" t="s">
        <v>1</v>
      </c>
      <c r="C4" s="36" t="s">
        <v>6</v>
      </c>
      <c r="D4" s="36" t="s">
        <v>14</v>
      </c>
      <c r="E4" s="46" t="s">
        <v>15</v>
      </c>
      <c r="F4" s="47"/>
      <c r="G4" s="47"/>
      <c r="H4" s="47"/>
      <c r="I4" s="47"/>
      <c r="J4" s="47"/>
      <c r="K4" s="48"/>
      <c r="L4" s="36" t="s">
        <v>2</v>
      </c>
    </row>
    <row r="5" spans="1:12" ht="39" customHeight="1" x14ac:dyDescent="0.3">
      <c r="A5" s="44"/>
      <c r="B5" s="44"/>
      <c r="C5" s="37"/>
      <c r="D5" s="37"/>
      <c r="E5" s="39" t="s">
        <v>8</v>
      </c>
      <c r="F5" s="39"/>
      <c r="G5" s="39"/>
      <c r="H5" s="40" t="s">
        <v>9</v>
      </c>
      <c r="I5" s="41"/>
      <c r="J5" s="41"/>
      <c r="K5" s="42"/>
      <c r="L5" s="37"/>
    </row>
    <row r="6" spans="1:12" ht="21" customHeight="1" x14ac:dyDescent="0.3">
      <c r="A6" s="44"/>
      <c r="B6" s="44"/>
      <c r="C6" s="37"/>
      <c r="D6" s="37"/>
      <c r="E6" s="40" t="s">
        <v>3</v>
      </c>
      <c r="F6" s="42"/>
      <c r="G6" s="36" t="s">
        <v>10</v>
      </c>
      <c r="H6" s="40" t="s">
        <v>3</v>
      </c>
      <c r="I6" s="42"/>
      <c r="J6" s="36" t="s">
        <v>11</v>
      </c>
      <c r="K6" s="49" t="s">
        <v>12</v>
      </c>
      <c r="L6" s="37"/>
    </row>
    <row r="7" spans="1:12" ht="71.25" customHeight="1" x14ac:dyDescent="0.3">
      <c r="A7" s="45"/>
      <c r="B7" s="45"/>
      <c r="C7" s="37"/>
      <c r="D7" s="37"/>
      <c r="E7" s="6" t="s">
        <v>5</v>
      </c>
      <c r="F7" s="6" t="s">
        <v>4</v>
      </c>
      <c r="G7" s="38"/>
      <c r="H7" s="6" t="s">
        <v>5</v>
      </c>
      <c r="I7" s="6" t="s">
        <v>4</v>
      </c>
      <c r="J7" s="38"/>
      <c r="K7" s="50"/>
      <c r="L7" s="38"/>
    </row>
    <row r="8" spans="1:12" s="2" customFormat="1" x14ac:dyDescent="0.3">
      <c r="A8" s="7">
        <v>1</v>
      </c>
      <c r="B8" s="8">
        <v>43100</v>
      </c>
      <c r="C8" s="11">
        <f t="shared" ref="C8:C37" si="0">(E8+H8)</f>
        <v>824.755</v>
      </c>
      <c r="D8" s="9">
        <f t="shared" ref="D8:D37" si="1">G8+J8</f>
        <v>3297.3428347999998</v>
      </c>
      <c r="E8" s="19">
        <f>795585/1000</f>
        <v>795.58500000000004</v>
      </c>
      <c r="F8" s="10">
        <f t="shared" ref="F8:F37" si="2">E8/C8*100</f>
        <v>96.463192099471968</v>
      </c>
      <c r="G8" s="10">
        <v>395.60833839999998</v>
      </c>
      <c r="H8" s="20">
        <f>29170/1000</f>
        <v>29.17</v>
      </c>
      <c r="I8" s="10">
        <f t="shared" ref="I8:I14" si="3">H8/C8*100</f>
        <v>3.5368079005280357</v>
      </c>
      <c r="J8" s="11">
        <v>2901.7344963999999</v>
      </c>
      <c r="K8" s="12">
        <v>510.47500000000002</v>
      </c>
      <c r="L8" s="11">
        <f>K8+G8</f>
        <v>906.0833384</v>
      </c>
    </row>
    <row r="9" spans="1:12" s="2" customFormat="1" x14ac:dyDescent="0.3">
      <c r="A9" s="7">
        <v>2</v>
      </c>
      <c r="B9" s="8">
        <v>43190</v>
      </c>
      <c r="C9" s="11">
        <f t="shared" si="0"/>
        <v>871.10799999999995</v>
      </c>
      <c r="D9" s="9">
        <f t="shared" si="1"/>
        <v>3099.7300347999999</v>
      </c>
      <c r="E9" s="19">
        <f>842887/1000</f>
        <v>842.88699999999994</v>
      </c>
      <c r="F9" s="10">
        <f t="shared" si="2"/>
        <v>96.760332817515163</v>
      </c>
      <c r="G9" s="10">
        <v>371.66804739999998</v>
      </c>
      <c r="H9" s="20">
        <f>28221/1000</f>
        <v>28.221</v>
      </c>
      <c r="I9" s="10">
        <f t="shared" si="3"/>
        <v>3.239667182484836</v>
      </c>
      <c r="J9" s="11">
        <v>2728.0619873999999</v>
      </c>
      <c r="K9" s="12">
        <v>493.86750000000001</v>
      </c>
      <c r="L9" s="11">
        <f>K9+G9</f>
        <v>865.53554740000004</v>
      </c>
    </row>
    <row r="10" spans="1:12" x14ac:dyDescent="0.3">
      <c r="A10" s="7">
        <v>3</v>
      </c>
      <c r="B10" s="8">
        <v>43281</v>
      </c>
      <c r="C10" s="11">
        <f t="shared" si="0"/>
        <v>931.12</v>
      </c>
      <c r="D10" s="9">
        <f t="shared" si="1"/>
        <v>3139.3805121799996</v>
      </c>
      <c r="E10" s="19">
        <f>902874/1000</f>
        <v>902.87400000000002</v>
      </c>
      <c r="F10" s="10">
        <f t="shared" si="2"/>
        <v>96.966449007646702</v>
      </c>
      <c r="G10" s="11">
        <v>411.38755402999999</v>
      </c>
      <c r="H10" s="20">
        <f>28246/1000</f>
        <v>28.245999999999999</v>
      </c>
      <c r="I10" s="10">
        <f t="shared" si="3"/>
        <v>3.0335509923532946</v>
      </c>
      <c r="J10" s="11">
        <v>2727.9929581499996</v>
      </c>
      <c r="K10" s="10">
        <v>494.30500000000001</v>
      </c>
      <c r="L10" s="11">
        <v>905.69255403</v>
      </c>
    </row>
    <row r="11" spans="1:12" x14ac:dyDescent="0.3">
      <c r="A11" s="7">
        <v>4</v>
      </c>
      <c r="B11" s="8">
        <v>43373</v>
      </c>
      <c r="C11" s="9">
        <f t="shared" si="0"/>
        <v>314.58600000000001</v>
      </c>
      <c r="D11" s="9">
        <f t="shared" si="1"/>
        <v>3143.2874542620002</v>
      </c>
      <c r="E11" s="19">
        <f>292639/1000</f>
        <v>292.63900000000001</v>
      </c>
      <c r="F11" s="13">
        <f t="shared" si="2"/>
        <v>93.023529336969858</v>
      </c>
      <c r="G11" s="9">
        <v>459.92653606199997</v>
      </c>
      <c r="H11" s="20">
        <f>21947/1000</f>
        <v>21.946999999999999</v>
      </c>
      <c r="I11" s="13">
        <f t="shared" si="3"/>
        <v>6.9764706630301401</v>
      </c>
      <c r="J11" s="9">
        <v>2683.3609182</v>
      </c>
      <c r="K11" s="10">
        <v>447.32000000000005</v>
      </c>
      <c r="L11" s="9">
        <v>907.24653606200002</v>
      </c>
    </row>
    <row r="12" spans="1:12" x14ac:dyDescent="0.3">
      <c r="A12" s="7">
        <v>5</v>
      </c>
      <c r="B12" s="8">
        <v>43465</v>
      </c>
      <c r="C12" s="9">
        <f t="shared" si="0"/>
        <v>335.27100000000002</v>
      </c>
      <c r="D12" s="9">
        <f t="shared" si="1"/>
        <v>3102.5942599299997</v>
      </c>
      <c r="E12" s="19">
        <f>313248/1000</f>
        <v>313.24799999999999</v>
      </c>
      <c r="F12" s="13">
        <f t="shared" si="2"/>
        <v>93.431283946419455</v>
      </c>
      <c r="G12" s="9">
        <v>486.09812648000002</v>
      </c>
      <c r="H12" s="20">
        <f>22023/1000</f>
        <v>22.023</v>
      </c>
      <c r="I12" s="13">
        <f t="shared" si="3"/>
        <v>6.5687160535805349</v>
      </c>
      <c r="J12" s="9">
        <v>2616.4961334499999</v>
      </c>
      <c r="K12" s="10">
        <v>450.63</v>
      </c>
      <c r="L12" s="9">
        <v>936.72812648000001</v>
      </c>
    </row>
    <row r="13" spans="1:12" x14ac:dyDescent="0.3">
      <c r="A13" s="7">
        <v>6</v>
      </c>
      <c r="B13" s="8">
        <v>43555</v>
      </c>
      <c r="C13" s="9">
        <f t="shared" si="0"/>
        <v>339.10399999999998</v>
      </c>
      <c r="D13" s="9">
        <f t="shared" si="1"/>
        <v>3078.7754499799994</v>
      </c>
      <c r="E13" s="19">
        <f>318639/1000</f>
        <v>318.63900000000001</v>
      </c>
      <c r="F13" s="13">
        <f t="shared" si="2"/>
        <v>93.964978295744089</v>
      </c>
      <c r="G13" s="9">
        <v>506.44967216000003</v>
      </c>
      <c r="H13" s="20">
        <f>20465/1000</f>
        <v>20.465</v>
      </c>
      <c r="I13" s="13">
        <f t="shared" si="3"/>
        <v>6.0350217042559215</v>
      </c>
      <c r="J13" s="9">
        <v>2572.3257778199995</v>
      </c>
      <c r="K13" s="10">
        <v>461.04025000000007</v>
      </c>
      <c r="L13" s="9">
        <v>967.48992216000011</v>
      </c>
    </row>
    <row r="14" spans="1:12" x14ac:dyDescent="0.3">
      <c r="A14" s="7">
        <v>7</v>
      </c>
      <c r="B14" s="8">
        <v>43646</v>
      </c>
      <c r="C14" s="9">
        <f t="shared" si="0"/>
        <v>353.72</v>
      </c>
      <c r="D14" s="9">
        <f t="shared" si="1"/>
        <v>3013.6834010899993</v>
      </c>
      <c r="E14" s="19">
        <f>333252/1000</f>
        <v>333.25200000000001</v>
      </c>
      <c r="F14" s="13">
        <f t="shared" si="2"/>
        <v>94.213502205134006</v>
      </c>
      <c r="G14" s="9">
        <v>517.42649396000002</v>
      </c>
      <c r="H14" s="20">
        <f>20468/1000</f>
        <v>20.468</v>
      </c>
      <c r="I14" s="13">
        <f t="shared" si="3"/>
        <v>5.786497794865995</v>
      </c>
      <c r="J14" s="9">
        <v>2496.2569071299995</v>
      </c>
      <c r="K14" s="10">
        <v>462.73149999999998</v>
      </c>
      <c r="L14" s="9">
        <v>980.15799396</v>
      </c>
    </row>
    <row r="15" spans="1:12" x14ac:dyDescent="0.3">
      <c r="A15" s="7">
        <v>8</v>
      </c>
      <c r="B15" s="8">
        <v>43738</v>
      </c>
      <c r="C15" s="9">
        <f t="shared" si="0"/>
        <v>357.30700000000002</v>
      </c>
      <c r="D15" s="9">
        <f t="shared" si="1"/>
        <v>3106.4507978000001</v>
      </c>
      <c r="E15" s="19">
        <f>336481/1000</f>
        <v>336.48099999999999</v>
      </c>
      <c r="F15" s="13">
        <f t="shared" si="2"/>
        <v>94.171398825099985</v>
      </c>
      <c r="G15" s="9">
        <v>511.78552578000011</v>
      </c>
      <c r="H15" s="20">
        <f>20826/1000</f>
        <v>20.826000000000001</v>
      </c>
      <c r="I15" s="13">
        <v>5.8286011749000162</v>
      </c>
      <c r="J15" s="9">
        <v>2594.66527202</v>
      </c>
      <c r="K15" s="10">
        <v>471.72804999999977</v>
      </c>
      <c r="L15" s="9">
        <v>983.51357577999988</v>
      </c>
    </row>
    <row r="16" spans="1:12" x14ac:dyDescent="0.3">
      <c r="A16" s="7">
        <v>9</v>
      </c>
      <c r="B16" s="8">
        <v>43830</v>
      </c>
      <c r="C16" s="9">
        <f t="shared" si="0"/>
        <v>376.30599999999998</v>
      </c>
      <c r="D16" s="9">
        <f t="shared" si="1"/>
        <v>3031.6772204100002</v>
      </c>
      <c r="E16" s="19">
        <f>355034/1000</f>
        <v>355.03399999999999</v>
      </c>
      <c r="F16" s="13">
        <f t="shared" si="2"/>
        <v>94.347153646234716</v>
      </c>
      <c r="G16" s="9">
        <v>538.24214288999985</v>
      </c>
      <c r="H16" s="20">
        <f>21272/1000</f>
        <v>21.271999999999998</v>
      </c>
      <c r="I16" s="13">
        <f t="shared" ref="I16:I37" si="4">H16/C16*100</f>
        <v>5.6528463537652867</v>
      </c>
      <c r="J16" s="9">
        <v>2493.4350775200005</v>
      </c>
      <c r="K16" s="10">
        <v>485.67475000000013</v>
      </c>
      <c r="L16" s="9">
        <v>1023.91689289</v>
      </c>
    </row>
    <row r="17" spans="1:12" x14ac:dyDescent="0.3">
      <c r="A17" s="7">
        <v>10</v>
      </c>
      <c r="B17" s="8">
        <v>43921</v>
      </c>
      <c r="C17" s="9">
        <f t="shared" si="0"/>
        <v>331.101</v>
      </c>
      <c r="D17" s="9">
        <f t="shared" si="1"/>
        <v>3152.2303625099994</v>
      </c>
      <c r="E17" s="19">
        <f>310847/1000</f>
        <v>310.84699999999998</v>
      </c>
      <c r="F17" s="13">
        <f t="shared" si="2"/>
        <v>93.88283333484344</v>
      </c>
      <c r="G17" s="9">
        <v>526.76551531999996</v>
      </c>
      <c r="H17" s="20">
        <f>20254/1000</f>
        <v>20.254000000000001</v>
      </c>
      <c r="I17" s="13">
        <f t="shared" si="4"/>
        <v>6.1171666651565539</v>
      </c>
      <c r="J17" s="9">
        <v>2625.4648471899995</v>
      </c>
      <c r="K17" s="10">
        <v>489.1952</v>
      </c>
      <c r="L17" s="9">
        <v>1015.96071532</v>
      </c>
    </row>
    <row r="18" spans="1:12" x14ac:dyDescent="0.3">
      <c r="A18" s="7">
        <v>11</v>
      </c>
      <c r="B18" s="8">
        <v>44012</v>
      </c>
      <c r="C18" s="9">
        <f t="shared" si="0"/>
        <v>343.2</v>
      </c>
      <c r="D18" s="9">
        <f t="shared" si="1"/>
        <v>3097.7807772099995</v>
      </c>
      <c r="E18" s="19">
        <f>323669/1000</f>
        <v>323.66899999999998</v>
      </c>
      <c r="F18" s="13">
        <f t="shared" si="2"/>
        <v>94.309149184149177</v>
      </c>
      <c r="G18" s="9">
        <v>536.42556556999978</v>
      </c>
      <c r="H18" s="20">
        <f>19531/1000</f>
        <v>19.530999999999999</v>
      </c>
      <c r="I18" s="13">
        <f t="shared" si="4"/>
        <v>5.6908508158508155</v>
      </c>
      <c r="J18" s="9">
        <v>2561.3552116399997</v>
      </c>
      <c r="K18" s="10">
        <v>472.81310000000013</v>
      </c>
      <c r="L18" s="9">
        <v>1009.23866557</v>
      </c>
    </row>
    <row r="19" spans="1:12" x14ac:dyDescent="0.3">
      <c r="A19" s="7">
        <v>12</v>
      </c>
      <c r="B19" s="8">
        <v>44104</v>
      </c>
      <c r="C19" s="9">
        <f t="shared" si="0"/>
        <v>381.88399999999996</v>
      </c>
      <c r="D19" s="9">
        <f t="shared" si="1"/>
        <v>3077.33173128</v>
      </c>
      <c r="E19" s="19">
        <f>362501/1000</f>
        <v>362.50099999999998</v>
      </c>
      <c r="F19" s="13">
        <f t="shared" si="2"/>
        <v>94.924374941081595</v>
      </c>
      <c r="G19" s="9">
        <v>552.81231463999973</v>
      </c>
      <c r="H19" s="21">
        <f>19383/1000</f>
        <v>19.382999999999999</v>
      </c>
      <c r="I19" s="13">
        <f t="shared" si="4"/>
        <v>5.0756250589184155</v>
      </c>
      <c r="J19" s="9">
        <v>2524.5194166400001</v>
      </c>
      <c r="K19" s="10">
        <v>471.35730000000001</v>
      </c>
      <c r="L19" s="9">
        <v>1024.1696146399997</v>
      </c>
    </row>
    <row r="20" spans="1:12" x14ac:dyDescent="0.3">
      <c r="A20" s="7">
        <v>13</v>
      </c>
      <c r="B20" s="8">
        <v>44196</v>
      </c>
      <c r="C20" s="9">
        <f t="shared" si="0"/>
        <v>481.56600000000003</v>
      </c>
      <c r="D20" s="9">
        <f t="shared" si="1"/>
        <v>3446.7897056000002</v>
      </c>
      <c r="E20" s="19">
        <f>460552/1000</f>
        <v>460.55200000000002</v>
      </c>
      <c r="F20" s="13">
        <f t="shared" si="2"/>
        <v>95.636319839855801</v>
      </c>
      <c r="G20" s="9">
        <v>671.51897733999988</v>
      </c>
      <c r="H20" s="21">
        <f>21014/1000</f>
        <v>21.013999999999999</v>
      </c>
      <c r="I20" s="13">
        <f t="shared" si="4"/>
        <v>4.3636801601441961</v>
      </c>
      <c r="J20" s="9">
        <v>2775.2707282600004</v>
      </c>
      <c r="K20" s="10">
        <v>513.74080000000026</v>
      </c>
      <c r="L20" s="9">
        <v>1185.2597773400003</v>
      </c>
    </row>
    <row r="21" spans="1:12" x14ac:dyDescent="0.3">
      <c r="A21" s="7">
        <v>14</v>
      </c>
      <c r="B21" s="8">
        <v>44286</v>
      </c>
      <c r="C21" s="9">
        <f t="shared" si="0"/>
        <v>525.64200000000005</v>
      </c>
      <c r="D21" s="9">
        <f t="shared" si="1"/>
        <v>3575.1433248699996</v>
      </c>
      <c r="E21" s="19">
        <f>503937/1000</f>
        <v>503.93700000000001</v>
      </c>
      <c r="F21" s="13">
        <f t="shared" si="2"/>
        <v>95.870763751754993</v>
      </c>
      <c r="G21" s="9">
        <v>693.4322468499995</v>
      </c>
      <c r="H21" s="21">
        <f>21705/1000</f>
        <v>21.704999999999998</v>
      </c>
      <c r="I21" s="13">
        <f t="shared" si="4"/>
        <v>4.129236248245002</v>
      </c>
      <c r="J21" s="9">
        <v>2881.7110780200001</v>
      </c>
      <c r="K21" s="10">
        <v>547.04699999999991</v>
      </c>
      <c r="L21" s="9">
        <v>1240.4792468499995</v>
      </c>
    </row>
    <row r="22" spans="1:12" x14ac:dyDescent="0.3">
      <c r="A22" s="7">
        <v>15</v>
      </c>
      <c r="B22" s="8">
        <v>44377</v>
      </c>
      <c r="C22" s="9">
        <f t="shared" si="0"/>
        <v>580.91700000000003</v>
      </c>
      <c r="D22" s="9">
        <f t="shared" si="1"/>
        <v>2852.4823581800001</v>
      </c>
      <c r="E22" s="19">
        <f>563960/1000</f>
        <v>563.96</v>
      </c>
      <c r="F22" s="13">
        <f t="shared" si="2"/>
        <v>97.080994358918744</v>
      </c>
      <c r="G22" s="9">
        <v>688.13735559000008</v>
      </c>
      <c r="H22" s="21">
        <f>16957/1000</f>
        <v>16.957000000000001</v>
      </c>
      <c r="I22" s="13">
        <f t="shared" si="4"/>
        <v>2.9190056410812559</v>
      </c>
      <c r="J22" s="9">
        <v>2164.3450025900001</v>
      </c>
      <c r="K22" s="10">
        <v>447.04200000000014</v>
      </c>
      <c r="L22" s="9">
        <v>1135.1793555900001</v>
      </c>
    </row>
    <row r="23" spans="1:12" x14ac:dyDescent="0.3">
      <c r="A23" s="7">
        <v>16</v>
      </c>
      <c r="B23" s="8">
        <v>44469</v>
      </c>
      <c r="C23" s="9">
        <f t="shared" si="0"/>
        <v>658.90500000000009</v>
      </c>
      <c r="D23" s="9">
        <f t="shared" si="1"/>
        <v>2895.5906710600002</v>
      </c>
      <c r="E23" s="19">
        <f>640897/1000</f>
        <v>640.89700000000005</v>
      </c>
      <c r="F23" s="13">
        <f t="shared" si="2"/>
        <v>97.266980824246289</v>
      </c>
      <c r="G23" s="9">
        <v>722.89243840000017</v>
      </c>
      <c r="H23" s="21">
        <f>18008/1000</f>
        <v>18.007999999999999</v>
      </c>
      <c r="I23" s="13">
        <f t="shared" si="4"/>
        <v>2.7330191757537121</v>
      </c>
      <c r="J23" s="9">
        <v>2172.69823266</v>
      </c>
      <c r="K23" s="10">
        <v>478.60800000000012</v>
      </c>
      <c r="L23" s="9">
        <v>1201.5004384000003</v>
      </c>
    </row>
    <row r="24" spans="1:12" x14ac:dyDescent="0.3">
      <c r="A24" s="7">
        <v>17</v>
      </c>
      <c r="B24" s="8">
        <v>44561</v>
      </c>
      <c r="C24" s="9">
        <f t="shared" si="0"/>
        <v>816.30599999999993</v>
      </c>
      <c r="D24" s="9">
        <f t="shared" si="1"/>
        <v>3315.1119456459455</v>
      </c>
      <c r="E24" s="19">
        <f>797896/1000</f>
        <v>797.89599999999996</v>
      </c>
      <c r="F24" s="13">
        <f t="shared" si="2"/>
        <v>97.744718279664738</v>
      </c>
      <c r="G24" s="9">
        <v>824.976802610503</v>
      </c>
      <c r="H24" s="21">
        <f>18410/1000</f>
        <v>18.41</v>
      </c>
      <c r="I24" s="13">
        <f t="shared" si="4"/>
        <v>2.2552817203352666</v>
      </c>
      <c r="J24" s="9">
        <v>2490.1351430354425</v>
      </c>
      <c r="K24" s="10">
        <v>493.30521904949711</v>
      </c>
      <c r="L24" s="9">
        <v>1318.2820216600001</v>
      </c>
    </row>
    <row r="25" spans="1:12" x14ac:dyDescent="0.3">
      <c r="A25" s="7">
        <v>18</v>
      </c>
      <c r="B25" s="8">
        <v>44651</v>
      </c>
      <c r="C25" s="9">
        <f t="shared" si="0"/>
        <v>809.62799999999993</v>
      </c>
      <c r="D25" s="9">
        <f t="shared" si="1"/>
        <v>3426.4792555910003</v>
      </c>
      <c r="E25" s="19">
        <f>791684/1000</f>
        <v>791.68399999999997</v>
      </c>
      <c r="F25" s="13">
        <f t="shared" si="2"/>
        <v>97.783673489553237</v>
      </c>
      <c r="G25" s="9">
        <v>882.85351150999986</v>
      </c>
      <c r="H25" s="21">
        <f>17944/1000</f>
        <v>17.943999999999999</v>
      </c>
      <c r="I25" s="13">
        <f t="shared" si="4"/>
        <v>2.2163265104467733</v>
      </c>
      <c r="J25" s="9">
        <v>2543.6257440810004</v>
      </c>
      <c r="K25" s="10">
        <v>514.34240000000011</v>
      </c>
      <c r="L25" s="9">
        <v>1397.1959115100001</v>
      </c>
    </row>
    <row r="26" spans="1:12" x14ac:dyDescent="0.3">
      <c r="A26" s="7">
        <v>19</v>
      </c>
      <c r="B26" s="8">
        <v>44742</v>
      </c>
      <c r="C26" s="9">
        <f t="shared" si="0"/>
        <v>931.81100000000004</v>
      </c>
      <c r="D26" s="9">
        <f t="shared" si="1"/>
        <v>3739.6020879799999</v>
      </c>
      <c r="E26" s="19">
        <f>912432/1000</f>
        <v>912.43200000000002</v>
      </c>
      <c r="F26" s="13">
        <f t="shared" si="2"/>
        <v>97.920286410012324</v>
      </c>
      <c r="G26" s="9">
        <v>1133.70492565</v>
      </c>
      <c r="H26" s="21">
        <f>19379/1000</f>
        <v>19.379000000000001</v>
      </c>
      <c r="I26" s="13">
        <f t="shared" si="4"/>
        <v>2.0797135899876693</v>
      </c>
      <c r="J26" s="9">
        <v>2605.8971623299999</v>
      </c>
      <c r="K26" s="10">
        <v>563.48800000000028</v>
      </c>
      <c r="L26" s="9">
        <v>1697.19292565</v>
      </c>
    </row>
    <row r="27" spans="1:12" x14ac:dyDescent="0.3">
      <c r="A27" s="7">
        <v>20</v>
      </c>
      <c r="B27" s="8">
        <v>44834</v>
      </c>
      <c r="C27" s="9">
        <f t="shared" si="0"/>
        <v>1210.748</v>
      </c>
      <c r="D27" s="9">
        <f t="shared" si="1"/>
        <v>4320.0592477900009</v>
      </c>
      <c r="E27" s="19">
        <f>1187846/1000</f>
        <v>1187.846</v>
      </c>
      <c r="F27" s="13">
        <f t="shared" si="2"/>
        <v>98.108442054002978</v>
      </c>
      <c r="G27" s="9">
        <v>1385.2444018600004</v>
      </c>
      <c r="H27" s="21">
        <f>22902/1000</f>
        <v>22.902000000000001</v>
      </c>
      <c r="I27" s="13">
        <f t="shared" si="4"/>
        <v>1.89155794599702</v>
      </c>
      <c r="J27" s="9">
        <v>2934.81484593</v>
      </c>
      <c r="K27" s="10">
        <v>669.97440000000029</v>
      </c>
      <c r="L27" s="9">
        <v>2055.2188018600004</v>
      </c>
    </row>
    <row r="28" spans="1:12" x14ac:dyDescent="0.3">
      <c r="A28" s="7">
        <v>21</v>
      </c>
      <c r="B28" s="8">
        <v>44926</v>
      </c>
      <c r="C28" s="9">
        <f t="shared" si="0"/>
        <v>1206.213</v>
      </c>
      <c r="D28" s="9">
        <f t="shared" si="1"/>
        <v>4569.9293639699999</v>
      </c>
      <c r="E28" s="19">
        <f>1182556/1000</f>
        <v>1182.556</v>
      </c>
      <c r="F28" s="13">
        <f t="shared" si="2"/>
        <v>98.038737768536748</v>
      </c>
      <c r="G28" s="9">
        <v>1313.5497016199997</v>
      </c>
      <c r="H28" s="21">
        <f>23657/1000</f>
        <v>23.657</v>
      </c>
      <c r="I28" s="13">
        <f t="shared" si="4"/>
        <v>1.9612622314632657</v>
      </c>
      <c r="J28" s="9">
        <v>3256.3796623500002</v>
      </c>
      <c r="K28" s="10">
        <v>698.07643793999978</v>
      </c>
      <c r="L28" s="9">
        <v>2011.6261395599995</v>
      </c>
    </row>
    <row r="29" spans="1:12" x14ac:dyDescent="0.3">
      <c r="A29" s="7">
        <v>22</v>
      </c>
      <c r="B29" s="8">
        <v>45016</v>
      </c>
      <c r="C29" s="9">
        <f t="shared" si="0"/>
        <v>1545.6980000000001</v>
      </c>
      <c r="D29" s="9">
        <f t="shared" si="1"/>
        <v>5404.8020129100005</v>
      </c>
      <c r="E29" s="19">
        <f>1523307/1000</f>
        <v>1523.307</v>
      </c>
      <c r="F29" s="13">
        <f t="shared" si="2"/>
        <v>98.551398785532484</v>
      </c>
      <c r="G29" s="9">
        <v>1420.6875979200006</v>
      </c>
      <c r="H29" s="21">
        <f>22391/1000</f>
        <v>22.390999999999998</v>
      </c>
      <c r="I29" s="13">
        <f t="shared" si="4"/>
        <v>1.4486012144675089</v>
      </c>
      <c r="J29" s="9">
        <v>3984.1144149900001</v>
      </c>
      <c r="K29" s="10">
        <v>698.93120000000022</v>
      </c>
      <c r="L29" s="9">
        <v>2119.6187979200008</v>
      </c>
    </row>
    <row r="30" spans="1:12" x14ac:dyDescent="0.3">
      <c r="A30" s="7">
        <v>23</v>
      </c>
      <c r="B30" s="8">
        <v>45107</v>
      </c>
      <c r="C30" s="9">
        <f t="shared" si="0"/>
        <v>1725.1420000000001</v>
      </c>
      <c r="D30" s="9">
        <f t="shared" si="1"/>
        <v>6428.1639258444393</v>
      </c>
      <c r="E30" s="19">
        <f>1697740/1000</f>
        <v>1697.74</v>
      </c>
      <c r="F30" s="13">
        <f t="shared" si="2"/>
        <v>98.411609015373799</v>
      </c>
      <c r="G30" s="9">
        <v>1661.4644137309672</v>
      </c>
      <c r="H30" s="21">
        <f>27402/1000</f>
        <v>27.402000000000001</v>
      </c>
      <c r="I30" s="13">
        <f t="shared" si="4"/>
        <v>1.588390984626193</v>
      </c>
      <c r="J30" s="9">
        <v>4766.6995121134723</v>
      </c>
      <c r="K30" s="10">
        <v>827.36280000000022</v>
      </c>
      <c r="L30" s="9">
        <v>2488.8272137309677</v>
      </c>
    </row>
    <row r="31" spans="1:12" x14ac:dyDescent="0.3">
      <c r="A31" s="7">
        <v>24</v>
      </c>
      <c r="B31" s="8">
        <v>45199</v>
      </c>
      <c r="C31" s="9">
        <f t="shared" si="0"/>
        <v>1917.2239999999999</v>
      </c>
      <c r="D31" s="9">
        <f t="shared" si="1"/>
        <v>7049.0224183701721</v>
      </c>
      <c r="E31" s="19">
        <f>1889158/1000</f>
        <v>1889.1579999999999</v>
      </c>
      <c r="F31" s="13">
        <f t="shared" si="2"/>
        <v>98.536112629510171</v>
      </c>
      <c r="G31" s="9">
        <v>1833.2017059599218</v>
      </c>
      <c r="H31" s="21">
        <f>28066/1000</f>
        <v>28.065999999999999</v>
      </c>
      <c r="I31" s="13">
        <f t="shared" si="4"/>
        <v>1.4638873704898332</v>
      </c>
      <c r="J31" s="9">
        <v>5215.8207124102501</v>
      </c>
      <c r="K31" s="10">
        <v>982.31</v>
      </c>
      <c r="L31" s="9">
        <v>2815.511705959922</v>
      </c>
    </row>
    <row r="32" spans="1:12" x14ac:dyDescent="0.3">
      <c r="A32" s="7">
        <v>25</v>
      </c>
      <c r="B32" s="8">
        <v>45291</v>
      </c>
      <c r="C32" s="9">
        <f t="shared" si="0"/>
        <v>2062.0480000000002</v>
      </c>
      <c r="D32" s="9">
        <f t="shared" si="1"/>
        <v>8158.8640233279111</v>
      </c>
      <c r="E32" s="19">
        <f>2029565/1000</f>
        <v>2029.5650000000001</v>
      </c>
      <c r="F32" s="13">
        <f t="shared" si="2"/>
        <v>98.424721441983891</v>
      </c>
      <c r="G32" s="9">
        <v>2143.5752982178101</v>
      </c>
      <c r="H32" s="21">
        <f>32483/1000</f>
        <v>32.482999999999997</v>
      </c>
      <c r="I32" s="13">
        <f t="shared" si="4"/>
        <v>1.5752785580161082</v>
      </c>
      <c r="J32" s="9">
        <v>6015.288725110101</v>
      </c>
      <c r="K32" s="10">
        <v>1136.905</v>
      </c>
      <c r="L32" s="9">
        <v>3280.4802982178103</v>
      </c>
    </row>
    <row r="33" spans="1:14" x14ac:dyDescent="0.3">
      <c r="A33" s="7">
        <v>26</v>
      </c>
      <c r="B33" s="8">
        <v>45382</v>
      </c>
      <c r="C33" s="9">
        <f t="shared" si="0"/>
        <v>2011.6689999999999</v>
      </c>
      <c r="D33" s="9">
        <f t="shared" si="1"/>
        <v>8404.7415155377712</v>
      </c>
      <c r="E33" s="19">
        <f>1978367/1000</f>
        <v>1978.367</v>
      </c>
      <c r="F33" s="13">
        <f t="shared" si="2"/>
        <v>98.344558672425748</v>
      </c>
      <c r="G33" s="9">
        <v>2203.080051545262</v>
      </c>
      <c r="H33" s="21">
        <f>33302/1000</f>
        <v>33.302</v>
      </c>
      <c r="I33" s="13">
        <f t="shared" si="4"/>
        <v>1.6554413275742679</v>
      </c>
      <c r="J33" s="9">
        <v>6201.6614639925101</v>
      </c>
      <c r="K33" s="10">
        <v>1165.5700000000008</v>
      </c>
      <c r="L33" s="9">
        <v>3368.6500515452626</v>
      </c>
    </row>
    <row r="34" spans="1:14" x14ac:dyDescent="0.3">
      <c r="A34" s="7">
        <v>27</v>
      </c>
      <c r="B34" s="8">
        <v>45473</v>
      </c>
      <c r="C34" s="9">
        <f t="shared" si="0"/>
        <v>2253.7619999999997</v>
      </c>
      <c r="D34" s="9">
        <f t="shared" si="1"/>
        <v>9460.1460738051392</v>
      </c>
      <c r="E34" s="19">
        <f>2216785/1000</f>
        <v>2216.7849999999999</v>
      </c>
      <c r="F34" s="13">
        <f t="shared" si="2"/>
        <v>98.359320993077361</v>
      </c>
      <c r="G34" s="9">
        <v>2925.7032440529683</v>
      </c>
      <c r="H34" s="21">
        <f>36977/1000</f>
        <v>36.976999999999997</v>
      </c>
      <c r="I34" s="13">
        <f t="shared" si="4"/>
        <v>1.6406790069226476</v>
      </c>
      <c r="J34" s="9">
        <v>6534.4428297521717</v>
      </c>
      <c r="K34" s="10">
        <v>1294.1949999999995</v>
      </c>
      <c r="L34" s="9">
        <v>4219.898244052968</v>
      </c>
    </row>
    <row r="35" spans="1:14" x14ac:dyDescent="0.3">
      <c r="A35" s="7">
        <v>28</v>
      </c>
      <c r="B35" s="8">
        <v>45565</v>
      </c>
      <c r="C35" s="9">
        <f t="shared" si="0"/>
        <v>2249.4160000000002</v>
      </c>
      <c r="D35" s="9">
        <f t="shared" si="1"/>
        <v>9978.2972072539742</v>
      </c>
      <c r="E35" s="19">
        <f>2206119/1000</f>
        <v>2206.1190000000001</v>
      </c>
      <c r="F35" s="13">
        <f t="shared" si="2"/>
        <v>98.075189293576642</v>
      </c>
      <c r="G35" s="9">
        <v>2750.1964970958338</v>
      </c>
      <c r="H35" s="20">
        <f>43297/1000</f>
        <v>43.296999999999997</v>
      </c>
      <c r="I35" s="13">
        <f t="shared" si="4"/>
        <v>1.9248107064233559</v>
      </c>
      <c r="J35" s="9">
        <v>7228.1007101581408</v>
      </c>
      <c r="K35" s="10">
        <v>1515.395</v>
      </c>
      <c r="L35" s="9">
        <v>4265.5914970958338</v>
      </c>
    </row>
    <row r="36" spans="1:14" x14ac:dyDescent="0.3">
      <c r="A36" s="14">
        <v>29</v>
      </c>
      <c r="B36" s="15">
        <v>45657</v>
      </c>
      <c r="C36" s="9">
        <f t="shared" si="0"/>
        <v>2492.7979999999998</v>
      </c>
      <c r="D36" s="9">
        <f t="shared" si="1"/>
        <v>11367.513856263551</v>
      </c>
      <c r="E36" s="19">
        <f>2443649/1000</f>
        <v>2443.6489999999999</v>
      </c>
      <c r="F36" s="13">
        <f t="shared" si="2"/>
        <v>98.028360099775441</v>
      </c>
      <c r="G36" s="9">
        <v>3099.0816169651894</v>
      </c>
      <c r="H36" s="21">
        <f>49149/1000</f>
        <v>49.149000000000001</v>
      </c>
      <c r="I36" s="13">
        <f t="shared" si="4"/>
        <v>1.971639900224567</v>
      </c>
      <c r="J36" s="9">
        <v>8268.4322392983613</v>
      </c>
      <c r="K36" s="10">
        <v>1720.2150000348106</v>
      </c>
      <c r="L36" s="9">
        <v>4819.296617</v>
      </c>
      <c r="N36" s="16"/>
    </row>
    <row r="37" spans="1:14" x14ac:dyDescent="0.3">
      <c r="A37" s="23">
        <v>30</v>
      </c>
      <c r="B37" s="24">
        <v>45747</v>
      </c>
      <c r="C37" s="25">
        <f t="shared" si="0"/>
        <v>2675.4060000000004</v>
      </c>
      <c r="D37" s="25">
        <f t="shared" si="1"/>
        <v>12839.995634570814</v>
      </c>
      <c r="E37" s="26">
        <v>2621.1060000000002</v>
      </c>
      <c r="F37" s="27">
        <f t="shared" si="2"/>
        <v>97.970401501678623</v>
      </c>
      <c r="G37" s="25">
        <v>3298.395175737674</v>
      </c>
      <c r="H37" s="21">
        <v>54.3</v>
      </c>
      <c r="I37" s="27">
        <f t="shared" si="4"/>
        <v>2.0295984983213762</v>
      </c>
      <c r="J37" s="25">
        <f>9541600458.83314/1000000</f>
        <v>9541.6004588331398</v>
      </c>
      <c r="K37" s="29">
        <f>H37*35</f>
        <v>1900.5</v>
      </c>
      <c r="L37" s="25">
        <f>5197530175.74/1000000</f>
        <v>5197.5301757399993</v>
      </c>
    </row>
    <row r="38" spans="1:14" x14ac:dyDescent="0.3">
      <c r="A38" s="23">
        <v>31</v>
      </c>
      <c r="B38" s="24">
        <v>45838</v>
      </c>
      <c r="C38" s="25">
        <f t="shared" ref="C38:C39" si="5">(E38+H38)</f>
        <v>3345.8519999999999</v>
      </c>
      <c r="D38" s="25">
        <f t="shared" ref="D38:D39" si="6">G38+J38</f>
        <v>13742.460510249994</v>
      </c>
      <c r="E38" s="26">
        <v>3288.5329999999999</v>
      </c>
      <c r="F38" s="27">
        <f t="shared" ref="F38:F39" si="7">E38/C38*100</f>
        <v>98.286863854109512</v>
      </c>
      <c r="G38" s="25">
        <v>3450.4240698112021</v>
      </c>
      <c r="H38" s="28">
        <v>57.319000000000003</v>
      </c>
      <c r="I38" s="27">
        <f t="shared" ref="I38:I39" si="8">H38/C38*100</f>
        <v>1.7131361458904939</v>
      </c>
      <c r="J38" s="25">
        <v>10292.036440438791</v>
      </c>
      <c r="K38" s="29">
        <f>H38*35</f>
        <v>2006.1650000000002</v>
      </c>
      <c r="L38" s="25">
        <f>[1]пасандозҳо!$M$50/1000000</f>
        <v>5456.5890698112034</v>
      </c>
    </row>
    <row r="39" spans="1:14" x14ac:dyDescent="0.3">
      <c r="A39" s="23">
        <v>32</v>
      </c>
      <c r="B39" s="24">
        <v>45930</v>
      </c>
      <c r="C39" s="25">
        <f t="shared" si="5"/>
        <v>3634.98</v>
      </c>
      <c r="D39" s="25">
        <f t="shared" si="6"/>
        <v>13851.394742</v>
      </c>
      <c r="E39" s="26">
        <v>3576.4349999999999</v>
      </c>
      <c r="F39" s="27">
        <f t="shared" si="7"/>
        <v>98.389399666573127</v>
      </c>
      <c r="G39" s="25">
        <v>3384.2796170000001</v>
      </c>
      <c r="H39" s="28">
        <v>58.545000000000002</v>
      </c>
      <c r="I39" s="27">
        <f t="shared" si="8"/>
        <v>1.610600333426869</v>
      </c>
      <c r="J39" s="25">
        <v>10467.115125</v>
      </c>
      <c r="K39" s="29">
        <f>H39*35</f>
        <v>2049.0750000000003</v>
      </c>
      <c r="L39" s="25">
        <v>5433.354617</v>
      </c>
    </row>
    <row r="40" spans="1:14" x14ac:dyDescent="0.3">
      <c r="A40" s="30"/>
      <c r="B40" s="31"/>
      <c r="C40" s="32"/>
      <c r="D40" s="32"/>
      <c r="E40" s="33"/>
      <c r="F40" s="34"/>
      <c r="G40" s="32"/>
      <c r="H40" s="35"/>
      <c r="I40" s="34"/>
      <c r="J40" s="32"/>
      <c r="K40" s="34"/>
      <c r="L40" s="32"/>
    </row>
    <row r="41" spans="1:14" x14ac:dyDescent="0.3">
      <c r="A41" s="3"/>
      <c r="B41" s="17" t="s">
        <v>7</v>
      </c>
      <c r="E41" s="18"/>
      <c r="F41" s="18"/>
      <c r="G41" s="18"/>
      <c r="H41" s="18"/>
      <c r="I41" s="18"/>
      <c r="J41" s="18"/>
      <c r="K41" s="18"/>
      <c r="L41" s="16"/>
    </row>
    <row r="42" spans="1:14" x14ac:dyDescent="0.3">
      <c r="E42" s="18"/>
      <c r="F42" s="18"/>
      <c r="G42" s="18"/>
      <c r="H42" s="18"/>
      <c r="I42" s="18"/>
      <c r="J42" s="18"/>
      <c r="K42" s="18"/>
      <c r="L42" s="18"/>
    </row>
    <row r="43" spans="1:14" x14ac:dyDescent="0.3">
      <c r="E43" s="18"/>
      <c r="F43" s="18"/>
      <c r="G43" s="18"/>
      <c r="H43" s="18"/>
      <c r="I43" s="18"/>
      <c r="J43" s="18"/>
      <c r="K43" s="18"/>
      <c r="L43" s="18"/>
    </row>
    <row r="44" spans="1:14" x14ac:dyDescent="0.3">
      <c r="E44" s="18"/>
      <c r="F44" s="18"/>
      <c r="G44" s="18"/>
      <c r="H44" s="18"/>
      <c r="I44" s="18"/>
      <c r="J44" s="18"/>
      <c r="K44" s="18"/>
      <c r="L44" s="18"/>
    </row>
    <row r="45" spans="1:14" x14ac:dyDescent="0.3">
      <c r="E45" s="18"/>
      <c r="F45" s="18"/>
      <c r="G45" s="16"/>
      <c r="H45" s="18"/>
      <c r="I45" s="18"/>
      <c r="J45" s="18"/>
      <c r="K45" s="18"/>
      <c r="L45" s="18"/>
    </row>
    <row r="46" spans="1:14" x14ac:dyDescent="0.3">
      <c r="E46" s="18"/>
      <c r="F46" s="18"/>
      <c r="G46" s="18"/>
      <c r="H46" s="18"/>
      <c r="I46" s="18"/>
      <c r="J46" s="18"/>
      <c r="K46" s="18"/>
      <c r="L46" s="18"/>
    </row>
    <row r="47" spans="1:14" x14ac:dyDescent="0.3">
      <c r="E47" s="18"/>
      <c r="F47" s="18"/>
      <c r="G47" s="18"/>
      <c r="H47" s="18"/>
      <c r="I47" s="18"/>
      <c r="J47" s="18"/>
      <c r="K47" s="18"/>
      <c r="L47" s="18"/>
    </row>
    <row r="48" spans="1:14" x14ac:dyDescent="0.3">
      <c r="E48" s="18"/>
      <c r="F48" s="18"/>
      <c r="G48" s="18"/>
      <c r="H48" s="18"/>
      <c r="I48" s="18"/>
      <c r="J48" s="18"/>
      <c r="K48" s="18"/>
      <c r="L48" s="18"/>
    </row>
    <row r="49" spans="5:12" x14ac:dyDescent="0.3">
      <c r="E49" s="18"/>
      <c r="F49" s="18"/>
      <c r="G49" s="18"/>
      <c r="H49" s="18"/>
      <c r="I49" s="18"/>
      <c r="J49" s="18"/>
      <c r="K49" s="18"/>
      <c r="L49" s="18"/>
    </row>
    <row r="50" spans="5:12" x14ac:dyDescent="0.3">
      <c r="E50" s="18"/>
      <c r="F50" s="18"/>
      <c r="G50" s="18"/>
      <c r="H50" s="18"/>
      <c r="I50" s="18"/>
      <c r="J50" s="18"/>
      <c r="K50" s="18"/>
      <c r="L50" s="18"/>
    </row>
    <row r="51" spans="5:12" x14ac:dyDescent="0.3">
      <c r="E51" s="18"/>
      <c r="F51" s="18"/>
      <c r="G51" s="18"/>
      <c r="H51" s="18"/>
      <c r="I51" s="18"/>
      <c r="J51" s="18"/>
      <c r="K51" s="18"/>
      <c r="L51" s="18"/>
    </row>
    <row r="52" spans="5:12" x14ac:dyDescent="0.3">
      <c r="E52" s="18"/>
      <c r="F52" s="18"/>
      <c r="G52" s="18"/>
      <c r="H52" s="18"/>
      <c r="I52" s="18"/>
      <c r="J52" s="18"/>
      <c r="K52" s="18"/>
      <c r="L52" s="18"/>
    </row>
    <row r="53" spans="5:12" x14ac:dyDescent="0.3">
      <c r="E53" s="18"/>
      <c r="F53" s="18"/>
      <c r="G53" s="18"/>
      <c r="H53" s="18"/>
      <c r="I53" s="18"/>
      <c r="J53" s="18"/>
      <c r="K53" s="18"/>
      <c r="L53" s="18"/>
    </row>
    <row r="54" spans="5:12" x14ac:dyDescent="0.3">
      <c r="E54" s="18"/>
      <c r="F54" s="18"/>
      <c r="G54" s="18"/>
      <c r="H54" s="18"/>
      <c r="I54" s="18"/>
      <c r="J54" s="18"/>
      <c r="K54" s="18"/>
      <c r="L54" s="18"/>
    </row>
    <row r="55" spans="5:12" x14ac:dyDescent="0.3">
      <c r="E55" s="18"/>
      <c r="F55" s="18"/>
      <c r="G55" s="18"/>
      <c r="H55" s="18"/>
      <c r="I55" s="18"/>
      <c r="J55" s="18"/>
      <c r="K55" s="18"/>
      <c r="L55" s="18"/>
    </row>
    <row r="56" spans="5:12" x14ac:dyDescent="0.3">
      <c r="E56" s="18"/>
      <c r="F56" s="18"/>
      <c r="G56" s="18"/>
      <c r="H56" s="18"/>
      <c r="I56" s="18"/>
      <c r="J56" s="18"/>
      <c r="K56" s="18"/>
      <c r="L56" s="18"/>
    </row>
    <row r="57" spans="5:12" x14ac:dyDescent="0.3">
      <c r="E57" s="18"/>
      <c r="F57" s="18"/>
      <c r="G57" s="18"/>
      <c r="H57" s="18"/>
      <c r="I57" s="18"/>
      <c r="J57" s="18"/>
      <c r="K57" s="18"/>
      <c r="L57" s="18"/>
    </row>
    <row r="58" spans="5:12" x14ac:dyDescent="0.3">
      <c r="E58" s="18"/>
      <c r="F58" s="18"/>
      <c r="G58" s="18"/>
      <c r="H58" s="18"/>
      <c r="I58" s="18"/>
      <c r="J58" s="18"/>
      <c r="K58" s="18"/>
      <c r="L58" s="18"/>
    </row>
    <row r="59" spans="5:12" x14ac:dyDescent="0.3">
      <c r="E59" s="18"/>
      <c r="F59" s="18"/>
      <c r="G59" s="18"/>
      <c r="H59" s="18"/>
      <c r="I59" s="18"/>
      <c r="J59" s="18"/>
      <c r="K59" s="18"/>
      <c r="L59" s="18"/>
    </row>
    <row r="60" spans="5:12" x14ac:dyDescent="0.3">
      <c r="E60" s="18"/>
      <c r="F60" s="18"/>
      <c r="G60" s="18"/>
      <c r="H60" s="18"/>
      <c r="I60" s="18"/>
      <c r="J60" s="18"/>
      <c r="K60" s="18"/>
      <c r="L60" s="18"/>
    </row>
    <row r="61" spans="5:12" x14ac:dyDescent="0.3">
      <c r="E61" s="18"/>
      <c r="F61" s="18"/>
      <c r="G61" s="18"/>
      <c r="H61" s="18"/>
      <c r="I61" s="18"/>
      <c r="J61" s="18"/>
      <c r="K61" s="18"/>
      <c r="L61" s="18"/>
    </row>
    <row r="62" spans="5:12" x14ac:dyDescent="0.3">
      <c r="E62" s="18"/>
      <c r="F62" s="18"/>
      <c r="G62" s="18"/>
      <c r="H62" s="18"/>
      <c r="I62" s="18"/>
      <c r="J62" s="18"/>
      <c r="K62" s="18"/>
      <c r="L62" s="18"/>
    </row>
    <row r="63" spans="5:12" x14ac:dyDescent="0.3">
      <c r="E63" s="18"/>
      <c r="F63" s="18"/>
      <c r="G63" s="18"/>
      <c r="H63" s="18"/>
      <c r="I63" s="18"/>
      <c r="J63" s="18"/>
      <c r="K63" s="18"/>
      <c r="L63" s="18"/>
    </row>
    <row r="64" spans="5:12" x14ac:dyDescent="0.3">
      <c r="E64" s="18"/>
      <c r="F64" s="18"/>
      <c r="G64" s="18"/>
      <c r="H64" s="18"/>
      <c r="I64" s="18"/>
      <c r="J64" s="18"/>
      <c r="K64" s="18"/>
      <c r="L64" s="18"/>
    </row>
    <row r="65" spans="5:12" x14ac:dyDescent="0.3">
      <c r="E65" s="18"/>
      <c r="F65" s="18"/>
      <c r="G65" s="18"/>
      <c r="H65" s="18"/>
      <c r="I65" s="18"/>
      <c r="J65" s="18"/>
      <c r="K65" s="18"/>
      <c r="L65" s="18"/>
    </row>
    <row r="66" spans="5:12" x14ac:dyDescent="0.3">
      <c r="E66" s="18"/>
      <c r="F66" s="18"/>
      <c r="G66" s="18"/>
      <c r="H66" s="18"/>
      <c r="I66" s="18"/>
      <c r="J66" s="18"/>
      <c r="K66" s="18"/>
      <c r="L66" s="18"/>
    </row>
    <row r="67" spans="5:12" x14ac:dyDescent="0.3">
      <c r="E67" s="18"/>
      <c r="F67" s="18"/>
      <c r="G67" s="18"/>
      <c r="H67" s="18"/>
      <c r="I67" s="18"/>
      <c r="J67" s="18"/>
      <c r="K67" s="18"/>
      <c r="L67" s="18"/>
    </row>
    <row r="68" spans="5:12" x14ac:dyDescent="0.3">
      <c r="E68" s="18"/>
      <c r="F68" s="18"/>
      <c r="G68" s="18"/>
      <c r="H68" s="18"/>
      <c r="I68" s="18"/>
      <c r="J68" s="18"/>
      <c r="K68" s="18"/>
      <c r="L68" s="18"/>
    </row>
    <row r="69" spans="5:12" x14ac:dyDescent="0.3">
      <c r="E69" s="18"/>
      <c r="F69" s="18"/>
      <c r="G69" s="18"/>
      <c r="H69" s="18"/>
      <c r="I69" s="18"/>
      <c r="J69" s="18"/>
      <c r="K69" s="18"/>
      <c r="L69" s="18"/>
    </row>
    <row r="70" spans="5:12" x14ac:dyDescent="0.3">
      <c r="E70" s="18"/>
      <c r="F70" s="18"/>
      <c r="G70" s="18"/>
      <c r="H70" s="18"/>
      <c r="I70" s="18"/>
      <c r="J70" s="18"/>
      <c r="K70" s="18"/>
      <c r="L70" s="18"/>
    </row>
  </sheetData>
  <mergeCells count="13">
    <mergeCell ref="A4:A7"/>
    <mergeCell ref="B4:B7"/>
    <mergeCell ref="C4:C7"/>
    <mergeCell ref="D4:D7"/>
    <mergeCell ref="E4:K4"/>
    <mergeCell ref="J6:J7"/>
    <mergeCell ref="K6:K7"/>
    <mergeCell ref="L4:L7"/>
    <mergeCell ref="E5:G5"/>
    <mergeCell ref="H5:K5"/>
    <mergeCell ref="E6:F6"/>
    <mergeCell ref="G6:G7"/>
    <mergeCell ref="H6:I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пасандоздорони суғурташуда</vt:lpstr>
      <vt:lpstr>'пасандоздорони суғурташуда'!Заголовки_для_печати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2025-10-22T11:23:15Z</dcterms:modified>
</cp:coreProperties>
</file>